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8990" windowHeight="8580" activeTab="2"/>
  </bookViews>
  <sheets>
    <sheet name="Stahl" sheetId="1" r:id="rId1"/>
    <sheet name="Glas" sheetId="2" r:id="rId2"/>
    <sheet name="Blei" sheetId="3" r:id="rId3"/>
  </sheets>
  <calcPr calcId="125725"/>
</workbook>
</file>

<file path=xl/calcChain.xml><?xml version="1.0" encoding="utf-8"?>
<calcChain xmlns="http://schemas.openxmlformats.org/spreadsheetml/2006/main">
  <c r="E17" i="3"/>
  <c r="E19" s="1"/>
  <c r="F19" s="1"/>
  <c r="F17" i="2"/>
  <c r="E17"/>
  <c r="E19" s="1"/>
  <c r="F19" s="1"/>
  <c r="F19" i="1"/>
  <c r="E19"/>
  <c r="C17" i="3"/>
  <c r="C17" i="2"/>
  <c r="J12" i="3"/>
  <c r="J13" s="1"/>
  <c r="B12"/>
  <c r="B13" s="1"/>
  <c r="F11"/>
  <c r="F10"/>
  <c r="F9"/>
  <c r="F8"/>
  <c r="F7"/>
  <c r="F6"/>
  <c r="F5"/>
  <c r="F4"/>
  <c r="F3"/>
  <c r="F2"/>
  <c r="J12" i="2"/>
  <c r="J13" s="1"/>
  <c r="B12"/>
  <c r="B13" s="1"/>
  <c r="F11"/>
  <c r="F10"/>
  <c r="F9"/>
  <c r="F8"/>
  <c r="F7"/>
  <c r="F6"/>
  <c r="F5"/>
  <c r="F4"/>
  <c r="F3"/>
  <c r="F2"/>
  <c r="F17" i="1"/>
  <c r="E17"/>
  <c r="B17"/>
  <c r="C17"/>
  <c r="H13"/>
  <c r="F14"/>
  <c r="D13"/>
  <c r="B14"/>
  <c r="L13"/>
  <c r="J14"/>
  <c r="L12"/>
  <c r="L3"/>
  <c r="L4"/>
  <c r="L5"/>
  <c r="L6"/>
  <c r="L7"/>
  <c r="L8"/>
  <c r="L9"/>
  <c r="L10"/>
  <c r="L11"/>
  <c r="K2"/>
  <c r="L2"/>
  <c r="K11"/>
  <c r="K10"/>
  <c r="K9"/>
  <c r="K8"/>
  <c r="K7"/>
  <c r="K6"/>
  <c r="K5"/>
  <c r="K4"/>
  <c r="K3"/>
  <c r="J13"/>
  <c r="J12"/>
  <c r="H12"/>
  <c r="H3"/>
  <c r="H4"/>
  <c r="H5"/>
  <c r="H6"/>
  <c r="H7"/>
  <c r="H8"/>
  <c r="H9"/>
  <c r="H10"/>
  <c r="H11"/>
  <c r="H2"/>
  <c r="G11"/>
  <c r="G10"/>
  <c r="G9"/>
  <c r="G8"/>
  <c r="G7"/>
  <c r="G6"/>
  <c r="G5"/>
  <c r="G4"/>
  <c r="G3"/>
  <c r="G2"/>
  <c r="F13"/>
  <c r="D12"/>
  <c r="D3"/>
  <c r="D4"/>
  <c r="D5"/>
  <c r="D6"/>
  <c r="D7"/>
  <c r="D8"/>
  <c r="D9"/>
  <c r="D10"/>
  <c r="D11"/>
  <c r="D2"/>
  <c r="B13"/>
  <c r="B12"/>
  <c r="F3"/>
  <c r="F4"/>
  <c r="F5"/>
  <c r="F6"/>
  <c r="F7"/>
  <c r="F8"/>
  <c r="F9"/>
  <c r="F10"/>
  <c r="F11"/>
  <c r="F2"/>
  <c r="F12" s="1"/>
  <c r="F17" i="3" l="1"/>
  <c r="C11"/>
  <c r="D11" s="1"/>
  <c r="C9"/>
  <c r="D9" s="1"/>
  <c r="C7"/>
  <c r="D7" s="1"/>
  <c r="C5"/>
  <c r="D5" s="1"/>
  <c r="C3"/>
  <c r="D3" s="1"/>
  <c r="C10"/>
  <c r="D10" s="1"/>
  <c r="C8"/>
  <c r="D8" s="1"/>
  <c r="C6"/>
  <c r="D6" s="1"/>
  <c r="C4"/>
  <c r="D4" s="1"/>
  <c r="C2"/>
  <c r="D2" s="1"/>
  <c r="K10"/>
  <c r="L10" s="1"/>
  <c r="K8"/>
  <c r="L8" s="1"/>
  <c r="K6"/>
  <c r="L6" s="1"/>
  <c r="K4"/>
  <c r="L4" s="1"/>
  <c r="K2"/>
  <c r="L2" s="1"/>
  <c r="L12" s="1"/>
  <c r="K11"/>
  <c r="L11" s="1"/>
  <c r="K9"/>
  <c r="L9" s="1"/>
  <c r="K7"/>
  <c r="L7" s="1"/>
  <c r="K5"/>
  <c r="L5" s="1"/>
  <c r="K3"/>
  <c r="L3" s="1"/>
  <c r="F12"/>
  <c r="F13" s="1"/>
  <c r="G2" s="1"/>
  <c r="H2" s="1"/>
  <c r="C11" i="2"/>
  <c r="D11" s="1"/>
  <c r="C9"/>
  <c r="D9" s="1"/>
  <c r="C7"/>
  <c r="D7" s="1"/>
  <c r="C5"/>
  <c r="D5" s="1"/>
  <c r="C3"/>
  <c r="D3" s="1"/>
  <c r="C10"/>
  <c r="D10" s="1"/>
  <c r="C8"/>
  <c r="D8" s="1"/>
  <c r="C6"/>
  <c r="D6" s="1"/>
  <c r="C4"/>
  <c r="D4" s="1"/>
  <c r="C2"/>
  <c r="D2" s="1"/>
  <c r="K10"/>
  <c r="L10" s="1"/>
  <c r="K8"/>
  <c r="L8" s="1"/>
  <c r="K6"/>
  <c r="L6" s="1"/>
  <c r="K4"/>
  <c r="L4" s="1"/>
  <c r="K2"/>
  <c r="L2" s="1"/>
  <c r="L12" s="1"/>
  <c r="K11"/>
  <c r="L11" s="1"/>
  <c r="K9"/>
  <c r="L9" s="1"/>
  <c r="K7"/>
  <c r="L7" s="1"/>
  <c r="K5"/>
  <c r="L5" s="1"/>
  <c r="K3"/>
  <c r="L3" s="1"/>
  <c r="F12"/>
  <c r="F13" s="1"/>
  <c r="C2" i="1"/>
  <c r="C4"/>
  <c r="C10"/>
  <c r="C6"/>
  <c r="C8"/>
  <c r="C3"/>
  <c r="C5"/>
  <c r="C7"/>
  <c r="C9"/>
  <c r="C11"/>
  <c r="L13" i="3" l="1"/>
  <c r="J14"/>
  <c r="G10"/>
  <c r="H10" s="1"/>
  <c r="G6"/>
  <c r="H6" s="1"/>
  <c r="D12"/>
  <c r="B17"/>
  <c r="G11"/>
  <c r="H11" s="1"/>
  <c r="G9"/>
  <c r="H9" s="1"/>
  <c r="G7"/>
  <c r="H7" s="1"/>
  <c r="G5"/>
  <c r="H5" s="1"/>
  <c r="G8"/>
  <c r="H8" s="1"/>
  <c r="G4"/>
  <c r="H4" s="1"/>
  <c r="G3"/>
  <c r="H3" s="1"/>
  <c r="B17" i="2"/>
  <c r="G11"/>
  <c r="H11" s="1"/>
  <c r="G9"/>
  <c r="H9" s="1"/>
  <c r="G3"/>
  <c r="H3" s="1"/>
  <c r="G7"/>
  <c r="H7" s="1"/>
  <c r="G10"/>
  <c r="H10" s="1"/>
  <c r="G6"/>
  <c r="H6" s="1"/>
  <c r="G2"/>
  <c r="H2" s="1"/>
  <c r="D12"/>
  <c r="L13"/>
  <c r="J14"/>
  <c r="G8"/>
  <c r="H8" s="1"/>
  <c r="G4"/>
  <c r="H4" s="1"/>
  <c r="G5"/>
  <c r="H5" s="1"/>
  <c r="H12" i="3" l="1"/>
  <c r="F14"/>
  <c r="H13"/>
  <c r="D13"/>
  <c r="B14"/>
  <c r="D13" i="2"/>
  <c r="B14"/>
  <c r="H12"/>
  <c r="F14" l="1"/>
  <c r="H13"/>
</calcChain>
</file>

<file path=xl/sharedStrings.xml><?xml version="1.0" encoding="utf-8"?>
<sst xmlns="http://schemas.openxmlformats.org/spreadsheetml/2006/main" count="97" uniqueCount="31">
  <si>
    <t>Messung Nr.</t>
  </si>
  <si>
    <t>Fallstrecke L mm</t>
  </si>
  <si>
    <t>(L-L)^2 mm²</t>
  </si>
  <si>
    <t>(L-L) mm</t>
  </si>
  <si>
    <t>Durchmesser d_k = 2r_k mm</t>
  </si>
  <si>
    <t>Radius r_k mm</t>
  </si>
  <si>
    <t>r-r mm</t>
  </si>
  <si>
    <t>(r-r)²</t>
  </si>
  <si>
    <t>Fallzeit t s</t>
  </si>
  <si>
    <t>t-t s</t>
  </si>
  <si>
    <t>(t-t)² s²</t>
  </si>
  <si>
    <t>Summe</t>
  </si>
  <si>
    <t>Mittelwert L</t>
  </si>
  <si>
    <t>Fehler delta L</t>
  </si>
  <si>
    <t>Summe (L-L)²</t>
  </si>
  <si>
    <t>Sigma_L</t>
  </si>
  <si>
    <t>Mittelwert r_k</t>
  </si>
  <si>
    <t>Fehler delta r_k</t>
  </si>
  <si>
    <t>Summe (r_k-r_k)²</t>
  </si>
  <si>
    <t>Sigma r_k</t>
  </si>
  <si>
    <t>Mittelwert t</t>
  </si>
  <si>
    <t>Fehler delta t</t>
  </si>
  <si>
    <t>Summe (t-t)²</t>
  </si>
  <si>
    <t>Sigma t</t>
  </si>
  <si>
    <t>g</t>
  </si>
  <si>
    <t>r_k</t>
  </si>
  <si>
    <t>rho_k</t>
  </si>
  <si>
    <t>rho_FL</t>
  </si>
  <si>
    <t>v_unendl</t>
  </si>
  <si>
    <t>eta</t>
  </si>
  <si>
    <t>mit Ladenburg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</si>
</sst>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2" fontId="0" fillId="0" borderId="1" xfId="0" applyNumberFormat="1" applyBorder="1" applyAlignment="1">
      <alignment wrapText="1"/>
    </xf>
    <xf numFmtId="2" fontId="0" fillId="0" borderId="1" xfId="0" applyNumberFormat="1" applyBorder="1"/>
    <xf numFmtId="2" fontId="0" fillId="0" borderId="0" xfId="0" applyNumberFormat="1"/>
    <xf numFmtId="164" fontId="0" fillId="0" borderId="1" xfId="0" applyNumberFormat="1" applyBorder="1"/>
    <xf numFmtId="0" fontId="1" fillId="2" borderId="1" xfId="0" applyFont="1" applyFill="1" applyBorder="1"/>
    <xf numFmtId="0" fontId="0" fillId="2" borderId="1" xfId="0" applyFill="1" applyBorder="1"/>
    <xf numFmtId="165" fontId="0" fillId="0" borderId="0" xfId="0" applyNumberForma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"/>
  <sheetViews>
    <sheetView workbookViewId="0">
      <selection activeCell="E17" sqref="E17:F19"/>
    </sheetView>
  </sheetViews>
  <sheetFormatPr baseColWidth="10" defaultRowHeight="15"/>
  <cols>
    <col min="1" max="1" width="13.7109375" bestFit="1" customWidth="1"/>
    <col min="3" max="3" width="12.7109375" bestFit="1" customWidth="1"/>
    <col min="5" max="5" width="14.85546875" style="5" bestFit="1" customWidth="1"/>
    <col min="7" max="7" width="16.5703125" bestFit="1" customWidth="1"/>
    <col min="9" max="9" width="12.85546875" bestFit="1" customWidth="1"/>
    <col min="10" max="10" width="11.42578125" style="5"/>
    <col min="11" max="11" width="12.42578125" bestFit="1" customWidth="1"/>
  </cols>
  <sheetData>
    <row r="1" spans="1:12" ht="30" customHeight="1">
      <c r="A1" s="1" t="s">
        <v>0</v>
      </c>
      <c r="B1" s="1" t="s">
        <v>1</v>
      </c>
      <c r="C1" s="1" t="s">
        <v>3</v>
      </c>
      <c r="D1" s="1" t="s">
        <v>2</v>
      </c>
      <c r="E1" s="3" t="s">
        <v>4</v>
      </c>
      <c r="F1" s="1" t="s">
        <v>5</v>
      </c>
      <c r="G1" s="1" t="s">
        <v>6</v>
      </c>
      <c r="H1" s="1" t="s">
        <v>7</v>
      </c>
      <c r="I1" s="1"/>
      <c r="J1" s="3" t="s">
        <v>8</v>
      </c>
      <c r="K1" s="1" t="s">
        <v>9</v>
      </c>
      <c r="L1" s="1" t="s">
        <v>10</v>
      </c>
    </row>
    <row r="2" spans="1:12">
      <c r="A2" s="2">
        <v>1</v>
      </c>
      <c r="B2" s="2">
        <v>130.1</v>
      </c>
      <c r="C2" s="6">
        <f>ROUNDUP(B2-B13,1)</f>
        <v>0</v>
      </c>
      <c r="D2" s="2">
        <f>ROUND(C2*C2,2)</f>
        <v>0</v>
      </c>
      <c r="E2" s="4">
        <v>4.99</v>
      </c>
      <c r="F2" s="4">
        <f>ROUND(E2/2,2)</f>
        <v>2.5</v>
      </c>
      <c r="G2" s="4">
        <f>ROUNDUP(F2-F13,2)</f>
        <v>0</v>
      </c>
      <c r="H2" s="2">
        <f>ROUNDUP(G2*G2,2)</f>
        <v>0</v>
      </c>
      <c r="I2" s="8"/>
      <c r="J2" s="4">
        <v>7.94</v>
      </c>
      <c r="K2" s="4">
        <f>ROUND(J2-J13,2)</f>
        <v>-0.02</v>
      </c>
      <c r="L2" s="2">
        <f>K2*K2</f>
        <v>4.0000000000000002E-4</v>
      </c>
    </row>
    <row r="3" spans="1:12">
      <c r="A3" s="2">
        <v>2</v>
      </c>
      <c r="B3" s="2">
        <v>129.9</v>
      </c>
      <c r="C3" s="6">
        <f>ROUNDUP(B3-B13,1)</f>
        <v>-0.2</v>
      </c>
      <c r="D3" s="2">
        <f t="shared" ref="D3:D11" si="0">ROUND(C3*C3,2)</f>
        <v>0.04</v>
      </c>
      <c r="E3" s="4">
        <v>4.99</v>
      </c>
      <c r="F3" s="4">
        <f t="shared" ref="F3:F11" si="1">ROUND(E3/2,2)</f>
        <v>2.5</v>
      </c>
      <c r="G3" s="4">
        <f>ROUNDUP(F3-F13,2)</f>
        <v>0</v>
      </c>
      <c r="H3" s="2">
        <f t="shared" ref="H3:H11" si="2">ROUNDUP(G3*G3,2)</f>
        <v>0</v>
      </c>
      <c r="I3" s="8"/>
      <c r="J3" s="4">
        <v>7.85</v>
      </c>
      <c r="K3" s="4">
        <f>J3-J13</f>
        <v>-0.11000000000000032</v>
      </c>
      <c r="L3" s="2">
        <f t="shared" ref="L3:L11" si="3">K3*K3</f>
        <v>1.2100000000000071E-2</v>
      </c>
    </row>
    <row r="4" spans="1:12">
      <c r="A4" s="2">
        <v>3</v>
      </c>
      <c r="B4" s="2">
        <v>130.19999999999999</v>
      </c>
      <c r="C4" s="6">
        <f>ROUNDUP(B4-B13,1)</f>
        <v>0.1</v>
      </c>
      <c r="D4" s="2">
        <f t="shared" si="0"/>
        <v>0.01</v>
      </c>
      <c r="E4" s="4">
        <v>4.99</v>
      </c>
      <c r="F4" s="4">
        <f t="shared" si="1"/>
        <v>2.5</v>
      </c>
      <c r="G4" s="4">
        <f>ROUNDUP(F4-F13,2)</f>
        <v>0</v>
      </c>
      <c r="H4" s="2">
        <f t="shared" si="2"/>
        <v>0</v>
      </c>
      <c r="I4" s="8"/>
      <c r="J4" s="4">
        <v>8</v>
      </c>
      <c r="K4" s="4">
        <f>J4-J13</f>
        <v>4.0000000000000036E-2</v>
      </c>
      <c r="L4" s="2">
        <f t="shared" si="3"/>
        <v>1.6000000000000029E-3</v>
      </c>
    </row>
    <row r="5" spans="1:12">
      <c r="A5" s="2">
        <v>4</v>
      </c>
      <c r="B5" s="2">
        <v>129.9</v>
      </c>
      <c r="C5" s="6">
        <f>ROUNDUP(B5-B13,1)</f>
        <v>-0.2</v>
      </c>
      <c r="D5" s="2">
        <f t="shared" si="0"/>
        <v>0.04</v>
      </c>
      <c r="E5" s="4">
        <v>5</v>
      </c>
      <c r="F5" s="4">
        <f t="shared" si="1"/>
        <v>2.5</v>
      </c>
      <c r="G5" s="4">
        <f>ROUNDUP(F5-F13,2)</f>
        <v>0</v>
      </c>
      <c r="H5" s="2">
        <f t="shared" si="2"/>
        <v>0</v>
      </c>
      <c r="I5" s="8"/>
      <c r="J5" s="4">
        <v>7.97</v>
      </c>
      <c r="K5" s="4">
        <f>J5-J13</f>
        <v>9.9999999999997868E-3</v>
      </c>
      <c r="L5" s="2">
        <f t="shared" si="3"/>
        <v>9.9999999999995736E-5</v>
      </c>
    </row>
    <row r="6" spans="1:12">
      <c r="A6" s="2">
        <v>5</v>
      </c>
      <c r="B6" s="2">
        <v>130.30000000000001</v>
      </c>
      <c r="C6" s="6">
        <f>ROUNDUP(B6-B13,1)</f>
        <v>0.30000000000000004</v>
      </c>
      <c r="D6" s="2">
        <f t="shared" si="0"/>
        <v>0.09</v>
      </c>
      <c r="E6" s="4">
        <v>5</v>
      </c>
      <c r="F6" s="4">
        <f t="shared" si="1"/>
        <v>2.5</v>
      </c>
      <c r="G6" s="4">
        <f>ROUNDUP(F6-F13,2)</f>
        <v>0</v>
      </c>
      <c r="H6" s="2">
        <f t="shared" si="2"/>
        <v>0</v>
      </c>
      <c r="I6" s="8"/>
      <c r="J6" s="4">
        <v>7.87</v>
      </c>
      <c r="K6" s="4">
        <f>J6-J13</f>
        <v>-8.9999999999999858E-2</v>
      </c>
      <c r="L6" s="2">
        <f t="shared" si="3"/>
        <v>8.0999999999999753E-3</v>
      </c>
    </row>
    <row r="7" spans="1:12">
      <c r="A7" s="2">
        <v>6</v>
      </c>
      <c r="B7" s="2">
        <v>130.1</v>
      </c>
      <c r="C7" s="6">
        <f>ROUNDUP(B7-B13,1)</f>
        <v>0</v>
      </c>
      <c r="D7" s="2">
        <f t="shared" si="0"/>
        <v>0</v>
      </c>
      <c r="E7" s="4">
        <v>4.99</v>
      </c>
      <c r="F7" s="4">
        <f t="shared" si="1"/>
        <v>2.5</v>
      </c>
      <c r="G7" s="4">
        <f>ROUNDUP(F7-F13,2)</f>
        <v>0</v>
      </c>
      <c r="H7" s="2">
        <f t="shared" si="2"/>
        <v>0</v>
      </c>
      <c r="I7" s="8"/>
      <c r="J7" s="4">
        <v>8.16</v>
      </c>
      <c r="K7" s="4">
        <f>J7-J13</f>
        <v>0.20000000000000018</v>
      </c>
      <c r="L7" s="2">
        <f t="shared" si="3"/>
        <v>4.000000000000007E-2</v>
      </c>
    </row>
    <row r="8" spans="1:12">
      <c r="A8" s="2">
        <v>7</v>
      </c>
      <c r="B8" s="2">
        <v>130</v>
      </c>
      <c r="C8" s="6">
        <f>ROUNDUP(B8-B13,1)</f>
        <v>-0.1</v>
      </c>
      <c r="D8" s="2">
        <f t="shared" si="0"/>
        <v>0.01</v>
      </c>
      <c r="E8" s="4">
        <v>4.99</v>
      </c>
      <c r="F8" s="4">
        <f t="shared" si="1"/>
        <v>2.5</v>
      </c>
      <c r="G8" s="4">
        <f>ROUNDUP(F8-F13,2)</f>
        <v>0</v>
      </c>
      <c r="H8" s="2">
        <f t="shared" si="2"/>
        <v>0</v>
      </c>
      <c r="I8" s="8"/>
      <c r="J8" s="4">
        <v>7.97</v>
      </c>
      <c r="K8" s="4">
        <f>J8-J13</f>
        <v>9.9999999999997868E-3</v>
      </c>
      <c r="L8" s="2">
        <f t="shared" si="3"/>
        <v>9.9999999999995736E-5</v>
      </c>
    </row>
    <row r="9" spans="1:12">
      <c r="A9" s="2">
        <v>8</v>
      </c>
      <c r="B9" s="2">
        <v>130.19999999999999</v>
      </c>
      <c r="C9" s="6">
        <f>ROUNDUP(B9-B13,1)</f>
        <v>0.1</v>
      </c>
      <c r="D9" s="2">
        <f t="shared" si="0"/>
        <v>0.01</v>
      </c>
      <c r="E9" s="4">
        <v>4.99</v>
      </c>
      <c r="F9" s="4">
        <f t="shared" si="1"/>
        <v>2.5</v>
      </c>
      <c r="G9" s="4">
        <f>ROUNDUP(F9-F13,2)</f>
        <v>0</v>
      </c>
      <c r="H9" s="2">
        <f t="shared" si="2"/>
        <v>0</v>
      </c>
      <c r="I9" s="8"/>
      <c r="J9" s="4">
        <v>7.97</v>
      </c>
      <c r="K9" s="4">
        <f>J9-J13</f>
        <v>9.9999999999997868E-3</v>
      </c>
      <c r="L9" s="2">
        <f t="shared" si="3"/>
        <v>9.9999999999995736E-5</v>
      </c>
    </row>
    <row r="10" spans="1:12">
      <c r="A10" s="2">
        <v>9</v>
      </c>
      <c r="B10" s="2">
        <v>129.9</v>
      </c>
      <c r="C10" s="6">
        <f>ROUNDUP(B10-B13,1)</f>
        <v>-0.2</v>
      </c>
      <c r="D10" s="2">
        <f t="shared" si="0"/>
        <v>0.04</v>
      </c>
      <c r="E10" s="4">
        <v>4.99</v>
      </c>
      <c r="F10" s="4">
        <f t="shared" si="1"/>
        <v>2.5</v>
      </c>
      <c r="G10" s="4">
        <f>ROUNDUP(F10-F13,2)</f>
        <v>0</v>
      </c>
      <c r="H10" s="2">
        <f t="shared" si="2"/>
        <v>0</v>
      </c>
      <c r="I10" s="8"/>
      <c r="J10" s="4">
        <v>7.94</v>
      </c>
      <c r="K10" s="4">
        <f>J10-J13</f>
        <v>-1.9999999999999574E-2</v>
      </c>
      <c r="L10" s="2">
        <f t="shared" si="3"/>
        <v>3.9999999999998294E-4</v>
      </c>
    </row>
    <row r="11" spans="1:12">
      <c r="A11" s="2">
        <v>10</v>
      </c>
      <c r="B11" s="2">
        <v>130.1</v>
      </c>
      <c r="C11" s="6">
        <f>ROUNDUP(B11-B13,1)</f>
        <v>0</v>
      </c>
      <c r="D11" s="2">
        <f t="shared" si="0"/>
        <v>0</v>
      </c>
      <c r="E11" s="4">
        <v>4.99</v>
      </c>
      <c r="F11" s="4">
        <f t="shared" si="1"/>
        <v>2.5</v>
      </c>
      <c r="G11" s="4">
        <f>ROUNDUP(F11-F13,2)</f>
        <v>0</v>
      </c>
      <c r="H11" s="2">
        <f t="shared" si="2"/>
        <v>0</v>
      </c>
      <c r="I11" s="8"/>
      <c r="J11" s="4">
        <v>7.91</v>
      </c>
      <c r="K11" s="4">
        <f>J11-J13</f>
        <v>-4.9999999999999822E-2</v>
      </c>
      <c r="L11" s="2">
        <f t="shared" si="3"/>
        <v>2.4999999999999823E-3</v>
      </c>
    </row>
    <row r="12" spans="1:12">
      <c r="A12" s="2" t="s">
        <v>11</v>
      </c>
      <c r="B12" s="2">
        <f>ROUND(SUM(B2:B11),1)</f>
        <v>1300.7</v>
      </c>
      <c r="C12" s="2" t="s">
        <v>14</v>
      </c>
      <c r="D12" s="2">
        <f>ROUND(SUM(D2:D11),1)</f>
        <v>0.2</v>
      </c>
      <c r="E12" s="4" t="s">
        <v>11</v>
      </c>
      <c r="F12" s="4">
        <f>SUM(F2:F11)</f>
        <v>25</v>
      </c>
      <c r="G12" s="2" t="s">
        <v>18</v>
      </c>
      <c r="H12" s="2">
        <f>SUM(H2:H11)</f>
        <v>0</v>
      </c>
      <c r="I12" s="2" t="s">
        <v>11</v>
      </c>
      <c r="J12" s="4">
        <f>ROUND(SUM(J2:J11),2)</f>
        <v>79.58</v>
      </c>
      <c r="K12" s="2" t="s">
        <v>22</v>
      </c>
      <c r="L12" s="2">
        <f>SUM(L2:L11)</f>
        <v>6.5400000000000069E-2</v>
      </c>
    </row>
    <row r="13" spans="1:12">
      <c r="A13" s="2" t="s">
        <v>12</v>
      </c>
      <c r="B13" s="6">
        <f>ROUND(B12/10,1)</f>
        <v>130.1</v>
      </c>
      <c r="C13" s="2" t="s">
        <v>15</v>
      </c>
      <c r="D13" s="2">
        <f>ROUNDUP(SQRT((1/9)*D12),1)</f>
        <v>0.2</v>
      </c>
      <c r="E13" s="4" t="s">
        <v>16</v>
      </c>
      <c r="F13" s="2">
        <f>ROUND(F12/10,2)</f>
        <v>2.5</v>
      </c>
      <c r="G13" s="2" t="s">
        <v>19</v>
      </c>
      <c r="H13" s="2">
        <f>ROUNDUP(SQRT((1/9)*H12),2)</f>
        <v>0</v>
      </c>
      <c r="I13" s="2" t="s">
        <v>20</v>
      </c>
      <c r="J13" s="4">
        <f>ROUNDUP(J12/10,2)</f>
        <v>7.96</v>
      </c>
      <c r="K13" s="2" t="s">
        <v>23</v>
      </c>
      <c r="L13" s="2">
        <f>ROUNDUP(SQRT((1/9)*L12),2)</f>
        <v>0.09</v>
      </c>
    </row>
    <row r="14" spans="1:12">
      <c r="A14" s="2" t="s">
        <v>13</v>
      </c>
      <c r="B14" s="6">
        <f>ROUNDUP(SQRT((1/90)*D12),1)</f>
        <v>0.1</v>
      </c>
      <c r="C14" s="7"/>
      <c r="D14" s="7"/>
      <c r="E14" s="4" t="s">
        <v>17</v>
      </c>
      <c r="F14" s="2">
        <f>ROUNDUP(SQRT((1/90)*H12),2)</f>
        <v>0</v>
      </c>
      <c r="G14" s="8"/>
      <c r="H14" s="8"/>
      <c r="I14" s="2" t="s">
        <v>21</v>
      </c>
      <c r="J14" s="4">
        <f>ROUNDUP(SQRT((1/90)*L12),2)</f>
        <v>0.03</v>
      </c>
      <c r="K14" s="8"/>
      <c r="L14" s="8"/>
    </row>
    <row r="16" spans="1:12">
      <c r="A16" t="s">
        <v>24</v>
      </c>
      <c r="B16" t="s">
        <v>25</v>
      </c>
      <c r="C16" t="s">
        <v>26</v>
      </c>
      <c r="D16" t="s">
        <v>27</v>
      </c>
      <c r="E16" s="5" t="s">
        <v>28</v>
      </c>
      <c r="F16" t="s">
        <v>29</v>
      </c>
    </row>
    <row r="17" spans="1:6">
      <c r="A17" s="5">
        <v>9.81</v>
      </c>
      <c r="B17">
        <f>F13/1000</f>
        <v>2.5000000000000001E-3</v>
      </c>
      <c r="C17">
        <f>7.78*10^3</f>
        <v>7780</v>
      </c>
      <c r="D17">
        <v>970</v>
      </c>
      <c r="E17" s="9">
        <f>(B13/1000)/J13</f>
        <v>1.6344221105527638E-2</v>
      </c>
      <c r="F17">
        <f>(2/9)*B17*B17*A17*(C17-D17)*(1/E17)</f>
        <v>5.6770065334358186</v>
      </c>
    </row>
    <row r="19" spans="1:6">
      <c r="A19" t="s">
        <v>30</v>
      </c>
      <c r="E19" s="9">
        <f>E17*(1+2.1*(B17/0.0495))</f>
        <v>1.8077699101568447E-2</v>
      </c>
      <c r="F19">
        <f>(2/9)*9.81*B17^2*(C17-D17)*(1/E19)</f>
        <v>5.132636043928275</v>
      </c>
    </row>
  </sheetData>
  <pageMargins left="0.70866141732283472" right="0.70866141732283472" top="0.78740157480314965" bottom="0.78740157480314965" header="0.31496062992125984" footer="0.31496062992125984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"/>
  <sheetViews>
    <sheetView workbookViewId="0">
      <selection activeCell="F19" sqref="F19"/>
    </sheetView>
  </sheetViews>
  <sheetFormatPr baseColWidth="10" defaultRowHeight="15"/>
  <cols>
    <col min="1" max="1" width="13" bestFit="1" customWidth="1"/>
    <col min="3" max="3" width="12.7109375" bestFit="1" customWidth="1"/>
    <col min="5" max="5" width="14.85546875" style="5" bestFit="1" customWidth="1"/>
    <col min="7" max="7" width="16.5703125" bestFit="1" customWidth="1"/>
    <col min="9" max="9" width="12.85546875" bestFit="1" customWidth="1"/>
    <col min="10" max="10" width="11.42578125" style="5"/>
    <col min="11" max="11" width="12.42578125" bestFit="1" customWidth="1"/>
  </cols>
  <sheetData>
    <row r="1" spans="1:12" ht="30" customHeight="1">
      <c r="A1" s="1" t="s">
        <v>0</v>
      </c>
      <c r="B1" s="1" t="s">
        <v>1</v>
      </c>
      <c r="C1" s="1" t="s">
        <v>3</v>
      </c>
      <c r="D1" s="1" t="s">
        <v>2</v>
      </c>
      <c r="E1" s="3" t="s">
        <v>4</v>
      </c>
      <c r="F1" s="1" t="s">
        <v>5</v>
      </c>
      <c r="G1" s="1" t="s">
        <v>6</v>
      </c>
      <c r="H1" s="1" t="s">
        <v>7</v>
      </c>
      <c r="I1" s="1"/>
      <c r="J1" s="3" t="s">
        <v>8</v>
      </c>
      <c r="K1" s="1" t="s">
        <v>9</v>
      </c>
      <c r="L1" s="1" t="s">
        <v>10</v>
      </c>
    </row>
    <row r="2" spans="1:12">
      <c r="A2" s="2">
        <v>1</v>
      </c>
      <c r="B2" s="2">
        <v>130.5</v>
      </c>
      <c r="C2" s="6">
        <f>ROUNDUP(B2-B13,1)</f>
        <v>0.5</v>
      </c>
      <c r="D2" s="2">
        <f>ROUND(C2*C2,2)</f>
        <v>0.25</v>
      </c>
      <c r="E2" s="4">
        <v>5.89</v>
      </c>
      <c r="F2" s="4">
        <f>ROUND(E2/2,2)</f>
        <v>2.95</v>
      </c>
      <c r="G2" s="4">
        <f>ROUNDUP(F2-F13,2)</f>
        <v>-0.05</v>
      </c>
      <c r="H2" s="2">
        <f>ROUNDUP(G2*G2,2)</f>
        <v>0.01</v>
      </c>
      <c r="I2" s="8"/>
      <c r="J2" s="4">
        <v>25.09</v>
      </c>
      <c r="K2" s="4">
        <f>ROUND(J2-J13,2)</f>
        <v>0.22</v>
      </c>
      <c r="L2" s="2">
        <f>K2*K2</f>
        <v>4.8399999999999999E-2</v>
      </c>
    </row>
    <row r="3" spans="1:12">
      <c r="A3" s="2">
        <v>2</v>
      </c>
      <c r="B3" s="2">
        <v>130</v>
      </c>
      <c r="C3" s="6">
        <f>ROUNDUP(B3-B13,1)</f>
        <v>-0.1</v>
      </c>
      <c r="D3" s="2">
        <f t="shared" ref="D3:D11" si="0">ROUND(C3*C3,2)</f>
        <v>0.01</v>
      </c>
      <c r="E3" s="4">
        <v>6.12</v>
      </c>
      <c r="F3" s="4">
        <f t="shared" ref="F3:F11" si="1">ROUND(E3/2,2)</f>
        <v>3.06</v>
      </c>
      <c r="G3" s="4">
        <f>ROUNDUP(F3-F13,2)</f>
        <v>6.9999999999999993E-2</v>
      </c>
      <c r="H3" s="2">
        <f t="shared" ref="H3:H11" si="2">ROUNDUP(G3*G3,2)</f>
        <v>0.01</v>
      </c>
      <c r="I3" s="8"/>
      <c r="J3" s="4">
        <v>24.85</v>
      </c>
      <c r="K3" s="4">
        <f>J3-J13</f>
        <v>-1.9999999999999574E-2</v>
      </c>
      <c r="L3" s="2">
        <f t="shared" ref="L3:L11" si="3">K3*K3</f>
        <v>3.9999999999998294E-4</v>
      </c>
    </row>
    <row r="4" spans="1:12">
      <c r="A4" s="2">
        <v>3</v>
      </c>
      <c r="B4" s="2">
        <v>130.19999999999999</v>
      </c>
      <c r="C4" s="6">
        <f>ROUNDUP(B4-B13,1)</f>
        <v>0.1</v>
      </c>
      <c r="D4" s="2">
        <f t="shared" si="0"/>
        <v>0.01</v>
      </c>
      <c r="E4" s="4">
        <v>5.92</v>
      </c>
      <c r="F4" s="4">
        <f t="shared" si="1"/>
        <v>2.96</v>
      </c>
      <c r="G4" s="4">
        <f>ROUNDUP(F4-F13,2)</f>
        <v>-0.04</v>
      </c>
      <c r="H4" s="2">
        <f t="shared" si="2"/>
        <v>0.01</v>
      </c>
      <c r="I4" s="8"/>
      <c r="J4" s="4">
        <v>24.53</v>
      </c>
      <c r="K4" s="4">
        <f>J4-J13</f>
        <v>-0.33999999999999986</v>
      </c>
      <c r="L4" s="2">
        <f t="shared" si="3"/>
        <v>0.1155999999999999</v>
      </c>
    </row>
    <row r="5" spans="1:12">
      <c r="A5" s="2">
        <v>4</v>
      </c>
      <c r="B5" s="2">
        <v>129.80000000000001</v>
      </c>
      <c r="C5" s="6">
        <f>ROUNDUP(B5-B13,1)</f>
        <v>-0.30000000000000004</v>
      </c>
      <c r="D5" s="2">
        <f t="shared" si="0"/>
        <v>0.09</v>
      </c>
      <c r="E5" s="4">
        <v>6.04</v>
      </c>
      <c r="F5" s="4">
        <f t="shared" si="1"/>
        <v>3.02</v>
      </c>
      <c r="G5" s="4">
        <f>ROUNDUP(F5-F13,2)</f>
        <v>0.02</v>
      </c>
      <c r="H5" s="2">
        <f t="shared" si="2"/>
        <v>0.01</v>
      </c>
      <c r="I5" s="8"/>
      <c r="J5" s="4">
        <v>24.78</v>
      </c>
      <c r="K5" s="4">
        <f>J5-J13</f>
        <v>-8.9999999999999858E-2</v>
      </c>
      <c r="L5" s="2">
        <f t="shared" si="3"/>
        <v>8.0999999999999753E-3</v>
      </c>
    </row>
    <row r="6" spans="1:12">
      <c r="A6" s="2">
        <v>5</v>
      </c>
      <c r="B6" s="2">
        <v>129.80000000000001</v>
      </c>
      <c r="C6" s="6">
        <f>ROUNDUP(B6-B13,1)</f>
        <v>-0.30000000000000004</v>
      </c>
      <c r="D6" s="2">
        <f t="shared" si="0"/>
        <v>0.09</v>
      </c>
      <c r="E6" s="4">
        <v>5.95</v>
      </c>
      <c r="F6" s="4">
        <f t="shared" si="1"/>
        <v>2.98</v>
      </c>
      <c r="G6" s="4">
        <f>ROUNDUP(F6-F13,2)</f>
        <v>-0.02</v>
      </c>
      <c r="H6" s="2">
        <f t="shared" si="2"/>
        <v>0.01</v>
      </c>
      <c r="I6" s="8"/>
      <c r="J6" s="4">
        <v>25.09</v>
      </c>
      <c r="K6" s="4">
        <f>J6-J13</f>
        <v>0.21999999999999886</v>
      </c>
      <c r="L6" s="2">
        <f t="shared" si="3"/>
        <v>4.8399999999999499E-2</v>
      </c>
    </row>
    <row r="7" spans="1:12">
      <c r="A7" s="2">
        <v>6</v>
      </c>
      <c r="B7" s="2">
        <v>130.1</v>
      </c>
      <c r="C7" s="6">
        <f>ROUNDUP(B7-B13,1)</f>
        <v>0</v>
      </c>
      <c r="D7" s="2">
        <f t="shared" si="0"/>
        <v>0</v>
      </c>
      <c r="E7" s="4">
        <v>6.03</v>
      </c>
      <c r="F7" s="4">
        <f t="shared" si="1"/>
        <v>3.02</v>
      </c>
      <c r="G7" s="4">
        <f>ROUNDUP(F7-F13,2)</f>
        <v>0.02</v>
      </c>
      <c r="H7" s="2">
        <f t="shared" si="2"/>
        <v>0.01</v>
      </c>
      <c r="I7" s="8"/>
      <c r="J7" s="4">
        <v>25.03</v>
      </c>
      <c r="K7" s="4">
        <f>J7-J13</f>
        <v>0.16000000000000014</v>
      </c>
      <c r="L7" s="2">
        <f t="shared" si="3"/>
        <v>2.5600000000000046E-2</v>
      </c>
    </row>
    <row r="8" spans="1:12">
      <c r="A8" s="2">
        <v>7</v>
      </c>
      <c r="B8" s="2">
        <v>130.1</v>
      </c>
      <c r="C8" s="6">
        <f>ROUNDUP(B8-B13,1)</f>
        <v>0</v>
      </c>
      <c r="D8" s="2">
        <f t="shared" si="0"/>
        <v>0</v>
      </c>
      <c r="E8" s="4">
        <v>6.06</v>
      </c>
      <c r="F8" s="4">
        <f t="shared" si="1"/>
        <v>3.03</v>
      </c>
      <c r="G8" s="4">
        <f>ROUNDUP(F8-F13,2)</f>
        <v>0.03</v>
      </c>
      <c r="H8" s="2">
        <f t="shared" si="2"/>
        <v>0.01</v>
      </c>
      <c r="I8" s="8"/>
      <c r="J8" s="4">
        <v>24.5</v>
      </c>
      <c r="K8" s="4">
        <f>J8-J13</f>
        <v>-0.37000000000000099</v>
      </c>
      <c r="L8" s="2">
        <f t="shared" si="3"/>
        <v>0.13690000000000074</v>
      </c>
    </row>
    <row r="9" spans="1:12">
      <c r="A9" s="2">
        <v>8</v>
      </c>
      <c r="B9" s="2">
        <v>129.9</v>
      </c>
      <c r="C9" s="6">
        <f>ROUNDUP(B9-B13,1)</f>
        <v>-0.2</v>
      </c>
      <c r="D9" s="2">
        <f t="shared" si="0"/>
        <v>0.04</v>
      </c>
      <c r="E9" s="4">
        <v>5.99</v>
      </c>
      <c r="F9" s="4">
        <f t="shared" si="1"/>
        <v>3</v>
      </c>
      <c r="G9" s="4">
        <f>ROUNDUP(F9-F13,2)</f>
        <v>0</v>
      </c>
      <c r="H9" s="2">
        <f t="shared" si="2"/>
        <v>0</v>
      </c>
      <c r="I9" s="8"/>
      <c r="J9" s="4">
        <v>24.94</v>
      </c>
      <c r="K9" s="4">
        <f>J9-J13</f>
        <v>7.0000000000000284E-2</v>
      </c>
      <c r="L9" s="2">
        <f t="shared" si="3"/>
        <v>4.9000000000000397E-3</v>
      </c>
    </row>
    <row r="10" spans="1:12">
      <c r="A10" s="2">
        <v>9</v>
      </c>
      <c r="B10" s="2">
        <v>129.9</v>
      </c>
      <c r="C10" s="6">
        <f>ROUNDUP(B10-B13,1)</f>
        <v>-0.2</v>
      </c>
      <c r="D10" s="2">
        <f t="shared" si="0"/>
        <v>0.04</v>
      </c>
      <c r="E10" s="4">
        <v>6.03</v>
      </c>
      <c r="F10" s="4">
        <f t="shared" si="1"/>
        <v>3.02</v>
      </c>
      <c r="G10" s="4">
        <f>ROUNDUP(F10-F13,2)</f>
        <v>0.02</v>
      </c>
      <c r="H10" s="2">
        <f t="shared" si="2"/>
        <v>0.01</v>
      </c>
      <c r="I10" s="8"/>
      <c r="J10" s="4">
        <v>25.03</v>
      </c>
      <c r="K10" s="4">
        <f>J10-J13</f>
        <v>0.16000000000000014</v>
      </c>
      <c r="L10" s="2">
        <f t="shared" si="3"/>
        <v>2.5600000000000046E-2</v>
      </c>
    </row>
    <row r="11" spans="1:12">
      <c r="A11" s="2">
        <v>10</v>
      </c>
      <c r="B11" s="2">
        <v>130.19999999999999</v>
      </c>
      <c r="C11" s="6">
        <f>ROUNDUP(B11-B13,1)</f>
        <v>0.1</v>
      </c>
      <c r="D11" s="2">
        <f t="shared" si="0"/>
        <v>0.01</v>
      </c>
      <c r="E11" s="4">
        <v>5.89</v>
      </c>
      <c r="F11" s="4">
        <f t="shared" si="1"/>
        <v>2.95</v>
      </c>
      <c r="G11" s="4">
        <f>ROUNDUP(F11-F13,2)</f>
        <v>-0.05</v>
      </c>
      <c r="H11" s="2">
        <f t="shared" si="2"/>
        <v>0.01</v>
      </c>
      <c r="I11" s="8"/>
      <c r="J11" s="4">
        <v>24.78</v>
      </c>
      <c r="K11" s="4">
        <f>J11-J13</f>
        <v>-8.9999999999999858E-2</v>
      </c>
      <c r="L11" s="2">
        <f t="shared" si="3"/>
        <v>8.0999999999999753E-3</v>
      </c>
    </row>
    <row r="12" spans="1:12">
      <c r="A12" s="2" t="s">
        <v>11</v>
      </c>
      <c r="B12" s="2">
        <f>ROUND(SUM(B2:B11),1)</f>
        <v>1300.5</v>
      </c>
      <c r="C12" s="2" t="s">
        <v>14</v>
      </c>
      <c r="D12" s="2">
        <f>ROUND(SUM(D2:D11),1)</f>
        <v>0.5</v>
      </c>
      <c r="E12" s="4" t="s">
        <v>11</v>
      </c>
      <c r="F12" s="4">
        <f>SUM(F2:F11)</f>
        <v>29.99</v>
      </c>
      <c r="G12" s="2" t="s">
        <v>18</v>
      </c>
      <c r="H12" s="2">
        <f>SUM(H2:H11)</f>
        <v>0.09</v>
      </c>
      <c r="I12" s="2" t="s">
        <v>11</v>
      </c>
      <c r="J12" s="4">
        <f>ROUND(SUM(J2:J11),2)</f>
        <v>248.62</v>
      </c>
      <c r="K12" s="2" t="s">
        <v>22</v>
      </c>
      <c r="L12" s="2">
        <f>SUM(L2:L11)</f>
        <v>0.42200000000000021</v>
      </c>
    </row>
    <row r="13" spans="1:12">
      <c r="A13" s="2" t="s">
        <v>12</v>
      </c>
      <c r="B13" s="6">
        <f>ROUND(B12/10,1)</f>
        <v>130.1</v>
      </c>
      <c r="C13" s="2" t="s">
        <v>15</v>
      </c>
      <c r="D13" s="2">
        <f>ROUNDUP(SQRT((1/9)*D12),1)</f>
        <v>0.30000000000000004</v>
      </c>
      <c r="E13" s="4" t="s">
        <v>16</v>
      </c>
      <c r="F13" s="2">
        <f>ROUND(F12/10,2)</f>
        <v>3</v>
      </c>
      <c r="G13" s="2" t="s">
        <v>19</v>
      </c>
      <c r="H13" s="2">
        <f>ROUNDUP(SQRT((1/9)*H12),2)</f>
        <v>0.1</v>
      </c>
      <c r="I13" s="2" t="s">
        <v>20</v>
      </c>
      <c r="J13" s="4">
        <f>ROUNDUP(J12/10,2)</f>
        <v>24.87</v>
      </c>
      <c r="K13" s="2" t="s">
        <v>23</v>
      </c>
      <c r="L13" s="2">
        <f>ROUNDUP(SQRT((1/9)*L12),2)</f>
        <v>0.22</v>
      </c>
    </row>
    <row r="14" spans="1:12">
      <c r="A14" s="2" t="s">
        <v>13</v>
      </c>
      <c r="B14" s="6">
        <f>ROUNDUP(SQRT((1/90)*D12),1)</f>
        <v>0.1</v>
      </c>
      <c r="C14" s="7"/>
      <c r="D14" s="7"/>
      <c r="E14" s="4" t="s">
        <v>17</v>
      </c>
      <c r="F14" s="2">
        <f>ROUNDUP(SQRT((1/90)*H12),2)</f>
        <v>0.04</v>
      </c>
      <c r="G14" s="8"/>
      <c r="H14" s="8"/>
      <c r="I14" s="2" t="s">
        <v>21</v>
      </c>
      <c r="J14" s="4">
        <f>ROUNDUP(SQRT((1/90)*L12),2)</f>
        <v>6.9999999999999993E-2</v>
      </c>
      <c r="K14" s="8"/>
      <c r="L14" s="8"/>
    </row>
    <row r="16" spans="1:12">
      <c r="A16" t="s">
        <v>24</v>
      </c>
      <c r="B16" t="s">
        <v>25</v>
      </c>
      <c r="C16" t="s">
        <v>26</v>
      </c>
      <c r="D16" t="s">
        <v>27</v>
      </c>
      <c r="E16" s="5" t="s">
        <v>28</v>
      </c>
      <c r="F16" t="s">
        <v>29</v>
      </c>
    </row>
    <row r="17" spans="1:6">
      <c r="A17" s="5">
        <v>9.81</v>
      </c>
      <c r="B17">
        <f>F13/1000</f>
        <v>3.0000000000000001E-3</v>
      </c>
      <c r="C17">
        <f>2.63*10^3</f>
        <v>2630</v>
      </c>
      <c r="D17">
        <v>970</v>
      </c>
      <c r="E17" s="9">
        <f>(B13/1000)/J13</f>
        <v>5.2312022517088854E-3</v>
      </c>
      <c r="F17">
        <f>(2/9)*B17*B17*A17*(C17-D17)*(1/E17)</f>
        <v>6.2259493005380486</v>
      </c>
    </row>
    <row r="19" spans="1:6">
      <c r="E19" s="9">
        <f>E17*(1+2.1*(B17/0.0495))</f>
        <v>5.8969916291991067E-3</v>
      </c>
      <c r="F19">
        <f>(2/9)*9.81*B17^2*(C17-D17)*(1/E19)</f>
        <v>5.5230195407998837</v>
      </c>
    </row>
  </sheetData>
  <pageMargins left="0.70866141732283472" right="0.70866141732283472" top="0.78740157480314965" bottom="0.78740157480314965" header="0.31496062992125984" footer="0.31496062992125984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"/>
  <sheetViews>
    <sheetView tabSelected="1" workbookViewId="0">
      <selection activeCell="E19" sqref="E19"/>
    </sheetView>
  </sheetViews>
  <sheetFormatPr baseColWidth="10" defaultRowHeight="15"/>
  <cols>
    <col min="1" max="1" width="13" bestFit="1" customWidth="1"/>
    <col min="3" max="3" width="12.7109375" bestFit="1" customWidth="1"/>
    <col min="5" max="5" width="14.85546875" style="5" bestFit="1" customWidth="1"/>
    <col min="7" max="7" width="16.5703125" bestFit="1" customWidth="1"/>
    <col min="9" max="9" width="12.85546875" bestFit="1" customWidth="1"/>
    <col min="10" max="10" width="11.42578125" style="5"/>
    <col min="11" max="11" width="12.42578125" bestFit="1" customWidth="1"/>
  </cols>
  <sheetData>
    <row r="1" spans="1:12" ht="30" customHeight="1">
      <c r="A1" s="1" t="s">
        <v>0</v>
      </c>
      <c r="B1" s="1" t="s">
        <v>1</v>
      </c>
      <c r="C1" s="1" t="s">
        <v>3</v>
      </c>
      <c r="D1" s="1" t="s">
        <v>2</v>
      </c>
      <c r="E1" s="3" t="s">
        <v>4</v>
      </c>
      <c r="F1" s="1" t="s">
        <v>5</v>
      </c>
      <c r="G1" s="1" t="s">
        <v>6</v>
      </c>
      <c r="H1" s="1" t="s">
        <v>7</v>
      </c>
      <c r="I1" s="1"/>
      <c r="J1" s="3" t="s">
        <v>8</v>
      </c>
      <c r="K1" s="1" t="s">
        <v>9</v>
      </c>
      <c r="L1" s="1" t="s">
        <v>10</v>
      </c>
    </row>
    <row r="2" spans="1:12">
      <c r="A2" s="2">
        <v>1</v>
      </c>
      <c r="B2" s="2">
        <v>130</v>
      </c>
      <c r="C2" s="6">
        <f>ROUNDUP(B2-B13,1)</f>
        <v>0</v>
      </c>
      <c r="D2" s="2">
        <f>ROUND(C2*C2,2)</f>
        <v>0</v>
      </c>
      <c r="E2" s="4">
        <v>4.99</v>
      </c>
      <c r="F2" s="4">
        <f>ROUND(E2/2,2)</f>
        <v>2.5</v>
      </c>
      <c r="G2" s="4">
        <f>ROUNDUP(F2-F13,2)</f>
        <v>0.1</v>
      </c>
      <c r="H2" s="2">
        <f>ROUNDUP(G2*G2,2)</f>
        <v>0.01</v>
      </c>
      <c r="I2" s="8"/>
      <c r="J2" s="4">
        <v>6.5</v>
      </c>
      <c r="K2" s="4">
        <f>ROUND(J2-J13,2)</f>
        <v>-0.1</v>
      </c>
      <c r="L2" s="2">
        <f>K2*K2</f>
        <v>1.0000000000000002E-2</v>
      </c>
    </row>
    <row r="3" spans="1:12">
      <c r="A3" s="2">
        <v>2</v>
      </c>
      <c r="B3" s="2">
        <v>129.80000000000001</v>
      </c>
      <c r="C3" s="6">
        <f>ROUNDUP(B3-B13,1)</f>
        <v>-0.2</v>
      </c>
      <c r="D3" s="2">
        <f t="shared" ref="D3:D11" si="0">ROUND(C3*C3,2)</f>
        <v>0.04</v>
      </c>
      <c r="E3" s="4">
        <v>5</v>
      </c>
      <c r="F3" s="4">
        <f t="shared" ref="F3:F11" si="1">ROUND(E3/2,2)</f>
        <v>2.5</v>
      </c>
      <c r="G3" s="4">
        <f>ROUNDUP(F3-F13,2)</f>
        <v>0.1</v>
      </c>
      <c r="H3" s="2">
        <f t="shared" ref="H3:H11" si="2">ROUNDUP(G3*G3,2)</f>
        <v>0.01</v>
      </c>
      <c r="I3" s="8"/>
      <c r="J3" s="4">
        <v>6.56</v>
      </c>
      <c r="K3" s="4">
        <f>J3-J13</f>
        <v>-4.0000000000000036E-2</v>
      </c>
      <c r="L3" s="2">
        <f t="shared" ref="L3:L11" si="3">K3*K3</f>
        <v>1.6000000000000029E-3</v>
      </c>
    </row>
    <row r="4" spans="1:12">
      <c r="A4" s="2">
        <v>3</v>
      </c>
      <c r="B4" s="2">
        <v>129.9</v>
      </c>
      <c r="C4" s="6">
        <f>ROUNDUP(B4-B13,1)</f>
        <v>-0.1</v>
      </c>
      <c r="D4" s="2">
        <f t="shared" si="0"/>
        <v>0.01</v>
      </c>
      <c r="E4" s="4">
        <v>4.5</v>
      </c>
      <c r="F4" s="4">
        <f t="shared" si="1"/>
        <v>2.25</v>
      </c>
      <c r="G4" s="4">
        <f>ROUNDUP(F4-F13,2)</f>
        <v>-0.15</v>
      </c>
      <c r="H4" s="2">
        <f t="shared" si="2"/>
        <v>0.03</v>
      </c>
      <c r="I4" s="8"/>
      <c r="J4" s="4">
        <v>6.66</v>
      </c>
      <c r="K4" s="4">
        <f>J4-J13</f>
        <v>6.0000000000000497E-2</v>
      </c>
      <c r="L4" s="2">
        <f t="shared" si="3"/>
        <v>3.6000000000000597E-3</v>
      </c>
    </row>
    <row r="5" spans="1:12">
      <c r="A5" s="2">
        <v>4</v>
      </c>
      <c r="B5" s="2">
        <v>130</v>
      </c>
      <c r="C5" s="6">
        <f>ROUNDUP(B5-B13,1)</f>
        <v>0</v>
      </c>
      <c r="D5" s="2">
        <f t="shared" si="0"/>
        <v>0</v>
      </c>
      <c r="E5" s="4">
        <v>4.8899999999999997</v>
      </c>
      <c r="F5" s="4">
        <f t="shared" si="1"/>
        <v>2.4500000000000002</v>
      </c>
      <c r="G5" s="4">
        <f>ROUNDUP(F5-F13,2)</f>
        <v>6.0000000000000005E-2</v>
      </c>
      <c r="H5" s="2">
        <f t="shared" si="2"/>
        <v>0.01</v>
      </c>
      <c r="I5" s="8"/>
      <c r="J5" s="4">
        <v>6.72</v>
      </c>
      <c r="K5" s="4">
        <f>J5-J13</f>
        <v>0.12000000000000011</v>
      </c>
      <c r="L5" s="2">
        <f t="shared" si="3"/>
        <v>1.4400000000000026E-2</v>
      </c>
    </row>
    <row r="6" spans="1:12">
      <c r="A6" s="2">
        <v>5</v>
      </c>
      <c r="B6" s="2">
        <v>130.1</v>
      </c>
      <c r="C6" s="6">
        <f>ROUNDUP(B6-B13,1)</f>
        <v>0.1</v>
      </c>
      <c r="D6" s="2">
        <f t="shared" si="0"/>
        <v>0.01</v>
      </c>
      <c r="E6" s="4">
        <v>4.87</v>
      </c>
      <c r="F6" s="4">
        <f t="shared" si="1"/>
        <v>2.44</v>
      </c>
      <c r="G6" s="4">
        <f>ROUNDUP(F6-F13,2)</f>
        <v>0.04</v>
      </c>
      <c r="H6" s="2">
        <f t="shared" si="2"/>
        <v>0.01</v>
      </c>
      <c r="I6" s="8"/>
      <c r="J6" s="4">
        <v>6.63</v>
      </c>
      <c r="K6" s="4">
        <f>J6-J13</f>
        <v>3.0000000000000249E-2</v>
      </c>
      <c r="L6" s="2">
        <f t="shared" si="3"/>
        <v>9.0000000000001494E-4</v>
      </c>
    </row>
    <row r="7" spans="1:12">
      <c r="A7" s="2">
        <v>6</v>
      </c>
      <c r="B7" s="2">
        <v>130</v>
      </c>
      <c r="C7" s="6">
        <f>ROUNDUP(B7-B13,1)</f>
        <v>0</v>
      </c>
      <c r="D7" s="2">
        <f t="shared" si="0"/>
        <v>0</v>
      </c>
      <c r="E7" s="4">
        <v>4.5</v>
      </c>
      <c r="F7" s="4">
        <f t="shared" si="1"/>
        <v>2.25</v>
      </c>
      <c r="G7" s="4">
        <f>ROUNDUP(F7-F13,2)</f>
        <v>-0.15</v>
      </c>
      <c r="H7" s="2">
        <f t="shared" si="2"/>
        <v>0.03</v>
      </c>
      <c r="I7" s="8"/>
      <c r="J7" s="4">
        <v>6.72</v>
      </c>
      <c r="K7" s="4">
        <f>J7-J13</f>
        <v>0.12000000000000011</v>
      </c>
      <c r="L7" s="2">
        <f t="shared" si="3"/>
        <v>1.4400000000000026E-2</v>
      </c>
    </row>
    <row r="8" spans="1:12">
      <c r="A8" s="2">
        <v>7</v>
      </c>
      <c r="B8" s="2">
        <v>130</v>
      </c>
      <c r="C8" s="6">
        <f>ROUNDUP(B8-B13,1)</f>
        <v>0</v>
      </c>
      <c r="D8" s="2">
        <f t="shared" si="0"/>
        <v>0</v>
      </c>
      <c r="E8" s="4">
        <v>4.5199999999999996</v>
      </c>
      <c r="F8" s="4">
        <f t="shared" si="1"/>
        <v>2.2599999999999998</v>
      </c>
      <c r="G8" s="4">
        <f>ROUNDUP(F8-F13,2)</f>
        <v>-0.14000000000000001</v>
      </c>
      <c r="H8" s="2">
        <f t="shared" si="2"/>
        <v>0.02</v>
      </c>
      <c r="I8" s="8"/>
      <c r="J8" s="4">
        <v>6.5</v>
      </c>
      <c r="K8" s="4">
        <f>J8-J13</f>
        <v>-9.9999999999999645E-2</v>
      </c>
      <c r="L8" s="2">
        <f t="shared" si="3"/>
        <v>9.9999999999999291E-3</v>
      </c>
    </row>
    <row r="9" spans="1:12">
      <c r="A9" s="2">
        <v>8</v>
      </c>
      <c r="B9" s="2">
        <v>130.1</v>
      </c>
      <c r="C9" s="6">
        <f>ROUNDUP(B9-B13,1)</f>
        <v>0.1</v>
      </c>
      <c r="D9" s="2">
        <f t="shared" si="0"/>
        <v>0.01</v>
      </c>
      <c r="E9" s="4">
        <v>4.97</v>
      </c>
      <c r="F9" s="4">
        <f t="shared" si="1"/>
        <v>2.4900000000000002</v>
      </c>
      <c r="G9" s="4">
        <f>ROUNDUP(F9-F13,2)</f>
        <v>9.9999999999999992E-2</v>
      </c>
      <c r="H9" s="2">
        <f t="shared" si="2"/>
        <v>0.01</v>
      </c>
      <c r="I9" s="8"/>
      <c r="J9" s="4">
        <v>6.5</v>
      </c>
      <c r="K9" s="4">
        <f>J9-J13</f>
        <v>-9.9999999999999645E-2</v>
      </c>
      <c r="L9" s="2">
        <f t="shared" si="3"/>
        <v>9.9999999999999291E-3</v>
      </c>
    </row>
    <row r="10" spans="1:12">
      <c r="A10" s="2">
        <v>9</v>
      </c>
      <c r="B10" s="2">
        <v>129.9</v>
      </c>
      <c r="C10" s="6">
        <f>ROUNDUP(B10-B13,1)</f>
        <v>-0.1</v>
      </c>
      <c r="D10" s="2">
        <f t="shared" si="0"/>
        <v>0.01</v>
      </c>
      <c r="E10" s="4">
        <v>4.92</v>
      </c>
      <c r="F10" s="4">
        <f t="shared" si="1"/>
        <v>2.46</v>
      </c>
      <c r="G10" s="4">
        <f>ROUNDUP(F10-F13,2)</f>
        <v>6.9999999999999993E-2</v>
      </c>
      <c r="H10" s="2">
        <f t="shared" si="2"/>
        <v>0.01</v>
      </c>
      <c r="I10" s="8"/>
      <c r="J10" s="4">
        <v>6.66</v>
      </c>
      <c r="K10" s="4">
        <f>J10-J13</f>
        <v>6.0000000000000497E-2</v>
      </c>
      <c r="L10" s="2">
        <f t="shared" si="3"/>
        <v>3.6000000000000597E-3</v>
      </c>
    </row>
    <row r="11" spans="1:12">
      <c r="A11" s="2">
        <v>10</v>
      </c>
      <c r="B11" s="2">
        <v>129.9</v>
      </c>
      <c r="C11" s="6">
        <f>ROUNDUP(B11-B13,1)</f>
        <v>-0.1</v>
      </c>
      <c r="D11" s="2">
        <f t="shared" si="0"/>
        <v>0.01</v>
      </c>
      <c r="E11" s="4">
        <v>4.87</v>
      </c>
      <c r="F11" s="4">
        <f t="shared" si="1"/>
        <v>2.44</v>
      </c>
      <c r="G11" s="4">
        <f>ROUNDUP(F11-F13,2)</f>
        <v>0.04</v>
      </c>
      <c r="H11" s="2">
        <f t="shared" si="2"/>
        <v>0.01</v>
      </c>
      <c r="I11" s="8"/>
      <c r="J11" s="4">
        <v>6.47</v>
      </c>
      <c r="K11" s="4">
        <f>J11-J13</f>
        <v>-0.12999999999999989</v>
      </c>
      <c r="L11" s="2">
        <f t="shared" si="3"/>
        <v>1.6899999999999971E-2</v>
      </c>
    </row>
    <row r="12" spans="1:12">
      <c r="A12" s="2" t="s">
        <v>11</v>
      </c>
      <c r="B12" s="2">
        <f>ROUND(SUM(B2:B11),1)</f>
        <v>1299.7</v>
      </c>
      <c r="C12" s="2" t="s">
        <v>14</v>
      </c>
      <c r="D12" s="2">
        <f>ROUND(SUM(D2:D11),1)</f>
        <v>0.1</v>
      </c>
      <c r="E12" s="4" t="s">
        <v>11</v>
      </c>
      <c r="F12" s="4">
        <f>SUM(F2:F11)</f>
        <v>24.040000000000003</v>
      </c>
      <c r="G12" s="2" t="s">
        <v>18</v>
      </c>
      <c r="H12" s="2">
        <f>SUM(H2:H11)</f>
        <v>0.15000000000000002</v>
      </c>
      <c r="I12" s="2" t="s">
        <v>11</v>
      </c>
      <c r="J12" s="4">
        <f>ROUND(SUM(J2:J11),2)</f>
        <v>65.92</v>
      </c>
      <c r="K12" s="2" t="s">
        <v>22</v>
      </c>
      <c r="L12" s="2">
        <f>SUM(L2:L11)</f>
        <v>8.5400000000000018E-2</v>
      </c>
    </row>
    <row r="13" spans="1:12">
      <c r="A13" s="2" t="s">
        <v>12</v>
      </c>
      <c r="B13" s="6">
        <f>ROUND(B12/10,1)</f>
        <v>130</v>
      </c>
      <c r="C13" s="2" t="s">
        <v>15</v>
      </c>
      <c r="D13" s="2">
        <f>ROUNDUP(SQRT((1/9)*D12),1)</f>
        <v>0.2</v>
      </c>
      <c r="E13" s="4" t="s">
        <v>16</v>
      </c>
      <c r="F13" s="2">
        <f>ROUND(F12/10,2)</f>
        <v>2.4</v>
      </c>
      <c r="G13" s="2" t="s">
        <v>19</v>
      </c>
      <c r="H13" s="2">
        <f>ROUNDUP(SQRT((1/9)*H12),2)</f>
        <v>0.13</v>
      </c>
      <c r="I13" s="2" t="s">
        <v>20</v>
      </c>
      <c r="J13" s="4">
        <f>ROUNDUP(J12/10,2)</f>
        <v>6.6</v>
      </c>
      <c r="K13" s="2" t="s">
        <v>23</v>
      </c>
      <c r="L13" s="2">
        <f>ROUNDUP(SQRT((1/9)*L12),2)</f>
        <v>9.9999999999999992E-2</v>
      </c>
    </row>
    <row r="14" spans="1:12">
      <c r="A14" s="2" t="s">
        <v>13</v>
      </c>
      <c r="B14" s="6">
        <f>ROUNDUP(SQRT((1/90)*D12),1)</f>
        <v>0.1</v>
      </c>
      <c r="C14" s="7"/>
      <c r="D14" s="7"/>
      <c r="E14" s="4" t="s">
        <v>17</v>
      </c>
      <c r="F14" s="2">
        <f>ROUNDUP(SQRT((1/90)*H12),2)</f>
        <v>0.05</v>
      </c>
      <c r="G14" s="8"/>
      <c r="H14" s="8"/>
      <c r="I14" s="2" t="s">
        <v>21</v>
      </c>
      <c r="J14" s="4">
        <f>ROUNDUP(SQRT((1/90)*L12),2)</f>
        <v>0.04</v>
      </c>
      <c r="K14" s="8"/>
      <c r="L14" s="8"/>
    </row>
    <row r="16" spans="1:12">
      <c r="A16" t="s">
        <v>24</v>
      </c>
      <c r="B16" t="s">
        <v>25</v>
      </c>
      <c r="C16" t="s">
        <v>26</v>
      </c>
      <c r="D16" t="s">
        <v>27</v>
      </c>
      <c r="E16" s="5" t="s">
        <v>28</v>
      </c>
      <c r="F16" t="s">
        <v>29</v>
      </c>
    </row>
    <row r="17" spans="1:6">
      <c r="A17" s="5">
        <v>9.81</v>
      </c>
      <c r="B17">
        <f>F13/1000</f>
        <v>2.3999999999999998E-3</v>
      </c>
      <c r="C17">
        <f>11.34*10^3</f>
        <v>11340</v>
      </c>
      <c r="D17">
        <v>970</v>
      </c>
      <c r="E17" s="9">
        <f>(B13/1000)/J13</f>
        <v>1.9696969696969699E-2</v>
      </c>
      <c r="F17">
        <f>(2/9)*B17*B17*A17*(C17-D17)*(1/E17)</f>
        <v>6.6108654276923051</v>
      </c>
    </row>
    <row r="19" spans="1:6">
      <c r="E19" s="9">
        <f>E17*(1+2.1*(B17/0.0495))</f>
        <v>2.1702479338842978E-2</v>
      </c>
      <c r="F19">
        <f>(2/9)*9.81*B17^2*(C17-D17)*(1/E19)</f>
        <v>5.9999603716679344</v>
      </c>
    </row>
  </sheetData>
  <pageMargins left="0.70866141732283472" right="0.70866141732283472" top="0.78740157480314965" bottom="0.78740157480314965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Stahl</vt:lpstr>
      <vt:lpstr>Glas</vt:lpstr>
      <vt:lpstr>Blei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Jürgen</dc:creator>
  <cp:lastModifiedBy>Jürgen</cp:lastModifiedBy>
  <cp:lastPrinted>2010-03-25T21:16:56Z</cp:lastPrinted>
  <dcterms:created xsi:type="dcterms:W3CDTF">2010-03-25T10:07:52Z</dcterms:created>
  <dcterms:modified xsi:type="dcterms:W3CDTF">2010-03-26T07:50:17Z</dcterms:modified>
</cp:coreProperties>
</file>